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FP'S\2020 RFP'S\RFQ NO. 5-2020 - UNDERWRITER\ADDENDUM\"/>
    </mc:Choice>
  </mc:AlternateContent>
  <xr:revisionPtr revIDLastSave="0" documentId="8_{519B3CF2-1AA8-45EA-953C-685A26C63D94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2020 Projection" sheetId="1" r:id="rId1"/>
    <sheet name="Debt Coverage Ratio" sheetId="5" r:id="rId2"/>
  </sheets>
  <definedNames>
    <definedName name="_xlnm.Print_Area" localSheetId="0">'2020 Projection'!$A$1:$D$63</definedName>
    <definedName name="_xlnm.Print_Area" localSheetId="1">'Debt Coverage Ratio'!$A$1:$F$38</definedName>
    <definedName name="_xlnm.Print_Titles" localSheetId="0">'2020 Projection'!$A:$B,'2020 Projection'!$1:$5</definedName>
    <definedName name="_xlnm.Print_Titles" localSheetId="1">'Debt Coverage Ratio'!$A:$D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1" l="1"/>
  <c r="C13" i="1" l="1"/>
  <c r="D25" i="1" l="1"/>
  <c r="F24" i="5"/>
  <c r="F33" i="5" l="1"/>
  <c r="F32" i="5"/>
  <c r="D41" i="1"/>
  <c r="D19" i="1" l="1"/>
  <c r="D12" i="1"/>
  <c r="D8" i="1"/>
  <c r="D7" i="1"/>
  <c r="C14" i="1" l="1"/>
  <c r="D32" i="1" l="1"/>
  <c r="C32" i="1"/>
  <c r="C53" i="1" l="1"/>
  <c r="D27" i="1"/>
  <c r="D5" i="1"/>
  <c r="D9" i="1"/>
  <c r="D15" i="1"/>
  <c r="D33" i="1"/>
  <c r="D34" i="1"/>
  <c r="D35" i="1"/>
  <c r="D65" i="1" l="1"/>
  <c r="D36" i="1"/>
  <c r="D17" i="1"/>
  <c r="D60" i="1" l="1"/>
  <c r="D61" i="1"/>
  <c r="C34" i="1" l="1"/>
  <c r="C33" i="1"/>
  <c r="D29" i="1" l="1"/>
  <c r="D38" i="1" s="1"/>
  <c r="F4" i="5"/>
  <c r="F34" i="5"/>
  <c r="F25" i="5"/>
  <c r="F13" i="5"/>
  <c r="F12" i="5"/>
  <c r="F11" i="5"/>
  <c r="F10" i="5"/>
  <c r="D53" i="1"/>
  <c r="F36" i="5" l="1"/>
  <c r="F14" i="5"/>
  <c r="C35" i="1" l="1"/>
  <c r="E25" i="5" l="1"/>
  <c r="E34" i="5" l="1"/>
  <c r="E36" i="5" s="1"/>
  <c r="C36" i="1" l="1"/>
  <c r="C9" i="1" l="1"/>
  <c r="E11" i="5" l="1"/>
  <c r="E12" i="5"/>
  <c r="E13" i="5"/>
  <c r="F7" i="5" l="1"/>
  <c r="E10" i="5"/>
  <c r="E14" i="5" s="1"/>
  <c r="C27" i="1"/>
  <c r="C65" i="1" l="1"/>
  <c r="F16" i="5"/>
  <c r="F18" i="5" s="1"/>
  <c r="D52" i="1"/>
  <c r="F38" i="5" l="1"/>
  <c r="F27" i="5"/>
  <c r="C15" i="1" l="1"/>
  <c r="C17" i="1" s="1"/>
  <c r="C29" i="1" s="1"/>
  <c r="C38" i="1" s="1"/>
  <c r="C52" i="1" l="1"/>
  <c r="C55" i="1" s="1"/>
  <c r="C43" i="1" s="1"/>
  <c r="E7" i="5"/>
  <c r="E18" i="5" s="1"/>
  <c r="E38" i="5" l="1"/>
  <c r="E27" i="5"/>
  <c r="C62" i="1"/>
  <c r="D50" i="1"/>
  <c r="D55" i="1" s="1"/>
  <c r="D43" i="1" l="1"/>
  <c r="D62" i="1"/>
  <c r="C63" i="1" l="1"/>
  <c r="C66" i="1" l="1"/>
  <c r="D63" i="1"/>
  <c r="D66" i="1" l="1"/>
</calcChain>
</file>

<file path=xl/sharedStrings.xml><?xml version="1.0" encoding="utf-8"?>
<sst xmlns="http://schemas.openxmlformats.org/spreadsheetml/2006/main" count="81" uniqueCount="76">
  <si>
    <t>Passenger Car Toll Revenue</t>
  </si>
  <si>
    <t>Commercial Toll Revenue</t>
  </si>
  <si>
    <t>Pledged Revenues</t>
  </si>
  <si>
    <t>Special Toll Permits</t>
  </si>
  <si>
    <t>Concessions/Service Plazas</t>
  </si>
  <si>
    <t>Lease &amp; License/Other</t>
  </si>
  <si>
    <t>Pledged Funds Investment income</t>
  </si>
  <si>
    <t>Total Other Revenues</t>
  </si>
  <si>
    <t>Gross Pledged Revenues</t>
  </si>
  <si>
    <t>Admin</t>
  </si>
  <si>
    <t>Insurance</t>
  </si>
  <si>
    <t>Maint of Roadway &amp; Structures</t>
  </si>
  <si>
    <t>Toll &amp; Service Plaza Operations</t>
  </si>
  <si>
    <t>Ohio Turnpike and Infrastructure Commission</t>
  </si>
  <si>
    <t>Operating Expenses</t>
  </si>
  <si>
    <t>Traffic Control, Safety &amp; Patrol</t>
  </si>
  <si>
    <t>Total Toll Revenue</t>
  </si>
  <si>
    <t>Capital Expenditure Requirmt.</t>
  </si>
  <si>
    <t>Capital Expenditures</t>
  </si>
  <si>
    <t>Total Operating Expenses</t>
  </si>
  <si>
    <t>Non Pledged Revenue(Fuel Tax)</t>
  </si>
  <si>
    <t>Net Revenue Avail for D/S and Capx</t>
  </si>
  <si>
    <t>Bond Proceeds</t>
  </si>
  <si>
    <t>Transfers in from operations</t>
  </si>
  <si>
    <t>System Project Fund Ending Balance</t>
  </si>
  <si>
    <t>System Project Fund Beginning Balance</t>
  </si>
  <si>
    <t>System Projects Fund</t>
  </si>
  <si>
    <t>Capital Expenditure Requirement</t>
  </si>
  <si>
    <t>Debt Service</t>
  </si>
  <si>
    <t>Current Debt Service</t>
  </si>
  <si>
    <t>Debt Service Requirement</t>
  </si>
  <si>
    <t>Revenue Bond Coverage:</t>
  </si>
  <si>
    <t>Expenses Paid from Pledged Revenues:</t>
  </si>
  <si>
    <t>Administration and Insurance</t>
  </si>
  <si>
    <t>Maintenance of Roadway and Structures</t>
  </si>
  <si>
    <t>Services and Toll Operations</t>
  </si>
  <si>
    <t>Traffic Control, Safety, Patrol and Communications</t>
  </si>
  <si>
    <t>Total Expenses Paid from Pledged Revenues</t>
  </si>
  <si>
    <t>Deposit to Reserve Account</t>
  </si>
  <si>
    <t>Net Revenues Available for Debt Service</t>
  </si>
  <si>
    <t>Sr Lien Debt Service Requirements:</t>
  </si>
  <si>
    <t>Less Interest Earned</t>
  </si>
  <si>
    <t xml:space="preserve">Total Sr Lien Debt Service Requirements                    </t>
  </si>
  <si>
    <t>Jr Lien Debt Service Requirements:</t>
  </si>
  <si>
    <t>Less Interest on Infrastructure Funds</t>
  </si>
  <si>
    <t xml:space="preserve">Total Jr Lien Debt Service Requirements                    </t>
  </si>
  <si>
    <t>Composite Debt Service Requirements</t>
  </si>
  <si>
    <t>2020</t>
  </si>
  <si>
    <t>Revenue Bond Coverage Ratio</t>
  </si>
  <si>
    <t>(Dollars in Thousands)</t>
  </si>
  <si>
    <t>Existing Debt Service</t>
  </si>
  <si>
    <t>Sr Lien Debt Coverage</t>
  </si>
  <si>
    <t>Composite Debt Coverage</t>
  </si>
  <si>
    <t>General Fund</t>
  </si>
  <si>
    <t>Non Trust Fund</t>
  </si>
  <si>
    <t>Fuel Tax Fund</t>
  </si>
  <si>
    <t>Renewal &amp; Replacement Fund</t>
  </si>
  <si>
    <t>Systems Project Fund</t>
  </si>
  <si>
    <t>Unrestricted Cash Balances</t>
  </si>
  <si>
    <t>- Interest Earned on D/S and Infrastr</t>
  </si>
  <si>
    <t>Debt Service for 2020 Issuance</t>
  </si>
  <si>
    <t>Days Cash on Hand</t>
  </si>
  <si>
    <t>2020 Refunding</t>
  </si>
  <si>
    <t>2021 Issuance ($140 million)</t>
  </si>
  <si>
    <t>2020 Projection</t>
  </si>
  <si>
    <t>Change in Other Capital Fund Balances</t>
  </si>
  <si>
    <t>Net Funds from Operations</t>
  </si>
  <si>
    <t>Net Decrease in Capital Fund Cash</t>
  </si>
  <si>
    <t>* 2021 Passenger car revenues decreased 10% due to COVID-19</t>
  </si>
  <si>
    <t>* 2021 Commercial revenues decrease 5% because of COVID-19</t>
  </si>
  <si>
    <t>* 2021 Concession revenues decreased 20% because of COVID-19</t>
  </si>
  <si>
    <t>* 2021 Fuel tax revenue decreased 10% because of COVID-19</t>
  </si>
  <si>
    <t>* Interest income revised to reflect decline in interest rates</t>
  </si>
  <si>
    <t>* 2021 Toll and service plaxa expenses decrease $5,600 to reflect reduced staffing levels</t>
  </si>
  <si>
    <t>* 2020 CapX reduced $12,075 and 2021 CapX reduced $27,915 for deferred capital projects</t>
  </si>
  <si>
    <t>(000's)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</si>
</sst>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&lt;* #,##0_&gt;;_&lt;* \&lt;#,##0\&gt;;_&lt;* &quot;-&quot;_&gt;;_&lt;@_&gt;"/>
    <numFmt numFmtId="166" formatCode="_&lt;&quot;$&quot;* #,##0_&gt;;_&lt;&quot;$&quot;* \&lt;#,##0\&gt;;_&lt;&quot;$&quot;* &quot;-&quot;_&gt;;_&lt;@_&gt;"/>
    <numFmt numFmtId="167" formatCode="0%_);\(0%\)"/>
    <numFmt numFmtId="168" formatCode="_&lt;.00_&gt;;;_&lt;@_&gt;"/>
    <numFmt numFmtId="169" formatCode="_&lt;.0_&gt;;;_&lt;@_&g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8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3" applyFont="1"/>
    <xf numFmtId="0" fontId="5" fillId="0" borderId="0" xfId="3" applyFont="1"/>
    <xf numFmtId="0" fontId="4" fillId="0" borderId="0" xfId="3" applyFont="1"/>
    <xf numFmtId="0" fontId="6" fillId="0" borderId="3" xfId="3" applyFont="1" applyBorder="1" applyAlignment="1">
      <alignment horizontal="right"/>
    </xf>
    <xf numFmtId="165" fontId="6" fillId="0" borderId="3" xfId="3" quotePrefix="1" applyNumberFormat="1" applyFont="1" applyFill="1" applyBorder="1" applyAlignment="1">
      <alignment horizontal="right"/>
    </xf>
    <xf numFmtId="0" fontId="6" fillId="0" borderId="0" xfId="3" applyFont="1" applyAlignment="1">
      <alignment horizontal="right"/>
    </xf>
    <xf numFmtId="0" fontId="5" fillId="0" borderId="0" xfId="3" applyFont="1" applyBorder="1"/>
    <xf numFmtId="0" fontId="6" fillId="0" borderId="0" xfId="3" applyFont="1"/>
    <xf numFmtId="41" fontId="5" fillId="0" borderId="0" xfId="3" applyNumberFormat="1" applyFont="1"/>
    <xf numFmtId="166" fontId="5" fillId="0" borderId="0" xfId="4" applyNumberFormat="1" applyFont="1"/>
    <xf numFmtId="0" fontId="6" fillId="0" borderId="0" xfId="3" applyFont="1" applyAlignment="1">
      <alignment horizontal="left"/>
    </xf>
    <xf numFmtId="166" fontId="6" fillId="0" borderId="0" xfId="4" applyNumberFormat="1" applyFont="1"/>
    <xf numFmtId="42" fontId="6" fillId="0" borderId="0" xfId="3" applyNumberFormat="1" applyFont="1"/>
    <xf numFmtId="0" fontId="5" fillId="0" borderId="0" xfId="3" applyFont="1" applyAlignment="1">
      <alignment horizontal="left"/>
    </xf>
    <xf numFmtId="41" fontId="5" fillId="0" borderId="3" xfId="3" applyNumberFormat="1" applyFont="1" applyBorder="1"/>
    <xf numFmtId="41" fontId="6" fillId="0" borderId="0" xfId="3" applyNumberFormat="1" applyFont="1" applyBorder="1"/>
    <xf numFmtId="0" fontId="5" fillId="0" borderId="0" xfId="3" quotePrefix="1" applyFont="1" applyAlignment="1">
      <alignment horizontal="left"/>
    </xf>
    <xf numFmtId="41" fontId="6" fillId="0" borderId="0" xfId="3" applyNumberFormat="1" applyFont="1"/>
    <xf numFmtId="42" fontId="6" fillId="0" borderId="2" xfId="3" applyNumberFormat="1" applyFont="1" applyBorder="1"/>
    <xf numFmtId="42" fontId="5" fillId="0" borderId="0" xfId="3" applyNumberFormat="1" applyFont="1"/>
    <xf numFmtId="41" fontId="5" fillId="0" borderId="0" xfId="5" applyNumberFormat="1" applyFont="1" applyBorder="1"/>
    <xf numFmtId="167" fontId="6" fillId="0" borderId="0" xfId="2" applyNumberFormat="1" applyFont="1" applyAlignment="1">
      <alignment horizontal="right"/>
    </xf>
    <xf numFmtId="168" fontId="6" fillId="0" borderId="0" xfId="3" applyNumberFormat="1" applyFont="1" applyAlignment="1">
      <alignment horizontal="right"/>
    </xf>
    <xf numFmtId="0" fontId="6" fillId="0" borderId="3" xfId="3" quotePrefix="1" applyNumberFormat="1" applyFont="1" applyFill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Border="1"/>
    <xf numFmtId="164" fontId="8" fillId="0" borderId="0" xfId="1" applyNumberFormat="1" applyFont="1"/>
    <xf numFmtId="0" fontId="10" fillId="0" borderId="0" xfId="0" applyFont="1"/>
    <xf numFmtId="164" fontId="8" fillId="0" borderId="1" xfId="0" applyNumberFormat="1" applyFont="1" applyBorder="1"/>
    <xf numFmtId="164" fontId="8" fillId="0" borderId="0" xfId="0" applyNumberFormat="1" applyFont="1" applyFill="1" applyBorder="1"/>
    <xf numFmtId="164" fontId="8" fillId="0" borderId="0" xfId="0" applyNumberFormat="1" applyFont="1"/>
    <xf numFmtId="164" fontId="8" fillId="0" borderId="1" xfId="1" applyNumberFormat="1" applyFont="1" applyBorder="1"/>
    <xf numFmtId="164" fontId="8" fillId="0" borderId="0" xfId="1" applyNumberFormat="1" applyFont="1" applyFill="1"/>
    <xf numFmtId="0" fontId="11" fillId="0" borderId="0" xfId="3" quotePrefix="1" applyFont="1"/>
    <xf numFmtId="41" fontId="8" fillId="0" borderId="0" xfId="0" applyNumberFormat="1" applyFont="1"/>
    <xf numFmtId="164" fontId="8" fillId="0" borderId="0" xfId="1" applyNumberFormat="1" applyFont="1" applyBorder="1"/>
    <xf numFmtId="164" fontId="8" fillId="0" borderId="2" xfId="0" applyNumberFormat="1" applyFont="1" applyBorder="1"/>
    <xf numFmtId="0" fontId="11" fillId="0" borderId="0" xfId="0" applyFont="1" applyFill="1" applyAlignment="1">
      <alignment horizontal="left"/>
    </xf>
    <xf numFmtId="0" fontId="0" fillId="0" borderId="0" xfId="0" applyFont="1"/>
    <xf numFmtId="0" fontId="5" fillId="0" borderId="0" xfId="0" applyFont="1" applyFill="1" applyAlignment="1">
      <alignment horizontal="left"/>
    </xf>
    <xf numFmtId="43" fontId="8" fillId="0" borderId="0" xfId="0" applyNumberFormat="1" applyFont="1"/>
    <xf numFmtId="169" fontId="6" fillId="0" borderId="0" xfId="3" applyNumberFormat="1" applyFont="1" applyAlignment="1">
      <alignment horizontal="right"/>
    </xf>
    <xf numFmtId="41" fontId="8" fillId="0" borderId="0" xfId="0" applyNumberFormat="1" applyFont="1" applyFill="1"/>
    <xf numFmtId="164" fontId="8" fillId="0" borderId="2" xfId="1" applyNumberFormat="1" applyFont="1" applyBorder="1"/>
  </cellXfs>
  <cellStyles count="6">
    <cellStyle name="Comma" xfId="1" builtinId="3"/>
    <cellStyle name="Comma_STATISTICAL SECTION 2001" xfId="5" xr:uid="{00000000-0005-0000-0000-000001000000}"/>
    <cellStyle name="Currency_STATISTICAL SECTION 2001" xfId="4" xr:uid="{00000000-0005-0000-0000-000002000000}"/>
    <cellStyle name="Normal" xfId="0" builtinId="0"/>
    <cellStyle name="Normal_STATISTICAL SECTION 2001" xfId="3" xr:uid="{00000000-0005-0000-0000-000004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9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7" sqref="C67"/>
    </sheetView>
  </sheetViews>
  <sheetFormatPr defaultColWidth="9.109375" defaultRowHeight="14.4" x14ac:dyDescent="0.3"/>
  <cols>
    <col min="1" max="1" width="2.5546875" style="26" customWidth="1"/>
    <col min="2" max="2" width="36.44140625" style="26" customWidth="1"/>
    <col min="3" max="4" width="13.6640625" style="26" customWidth="1"/>
    <col min="5" max="16384" width="9.109375" style="26"/>
  </cols>
  <sheetData>
    <row r="1" spans="1:6" ht="18" x14ac:dyDescent="0.35">
      <c r="A1" s="25" t="s">
        <v>13</v>
      </c>
    </row>
    <row r="2" spans="1:6" ht="18" x14ac:dyDescent="0.35">
      <c r="A2" s="25" t="s">
        <v>64</v>
      </c>
    </row>
    <row r="3" spans="1:6" ht="18" x14ac:dyDescent="0.35">
      <c r="A3" s="25" t="s">
        <v>75</v>
      </c>
    </row>
    <row r="5" spans="1:6" x14ac:dyDescent="0.3">
      <c r="C5" s="27">
        <v>2020</v>
      </c>
      <c r="D5" s="27">
        <f>C5+1</f>
        <v>2021</v>
      </c>
    </row>
    <row r="6" spans="1:6" x14ac:dyDescent="0.3">
      <c r="A6" s="28" t="s">
        <v>2</v>
      </c>
      <c r="C6" s="41"/>
      <c r="D6" s="41"/>
    </row>
    <row r="7" spans="1:6" x14ac:dyDescent="0.3">
      <c r="B7" s="26" t="s">
        <v>0</v>
      </c>
      <c r="C7" s="29">
        <v>93600</v>
      </c>
      <c r="D7" s="29">
        <f>131400*0.9</f>
        <v>118260</v>
      </c>
      <c r="F7" s="41" t="s">
        <v>68</v>
      </c>
    </row>
    <row r="8" spans="1:6" x14ac:dyDescent="0.3">
      <c r="B8" s="26" t="s">
        <v>1</v>
      </c>
      <c r="C8" s="29">
        <v>171400</v>
      </c>
      <c r="D8" s="29">
        <f>195700*0.95</f>
        <v>185915</v>
      </c>
      <c r="F8" s="41" t="s">
        <v>69</v>
      </c>
    </row>
    <row r="9" spans="1:6" x14ac:dyDescent="0.3">
      <c r="B9" s="30" t="s">
        <v>16</v>
      </c>
      <c r="C9" s="31">
        <f t="shared" ref="C9" si="0">C7+C8</f>
        <v>265000</v>
      </c>
      <c r="D9" s="31">
        <f t="shared" ref="D9" si="1">D7+D8</f>
        <v>304175</v>
      </c>
    </row>
    <row r="10" spans="1:6" x14ac:dyDescent="0.3">
      <c r="C10" s="32"/>
      <c r="D10" s="32"/>
    </row>
    <row r="11" spans="1:6" x14ac:dyDescent="0.3">
      <c r="B11" s="26" t="s">
        <v>3</v>
      </c>
      <c r="C11" s="33">
        <v>3502</v>
      </c>
      <c r="D11" s="33">
        <v>3719.2124999999992</v>
      </c>
    </row>
    <row r="12" spans="1:6" x14ac:dyDescent="0.3">
      <c r="B12" s="26" t="s">
        <v>4</v>
      </c>
      <c r="C12" s="33">
        <v>12473</v>
      </c>
      <c r="D12" s="33">
        <f>18175.8125*0.8</f>
        <v>14540.650000000001</v>
      </c>
      <c r="F12" s="41" t="s">
        <v>70</v>
      </c>
    </row>
    <row r="13" spans="1:6" x14ac:dyDescent="0.3">
      <c r="B13" s="26" t="s">
        <v>5</v>
      </c>
      <c r="C13" s="33">
        <f>1171+6314</f>
        <v>7485</v>
      </c>
      <c r="D13" s="33">
        <v>7800</v>
      </c>
    </row>
    <row r="14" spans="1:6" x14ac:dyDescent="0.3">
      <c r="B14" s="26" t="s">
        <v>6</v>
      </c>
      <c r="C14" s="32">
        <f>498+82+563</f>
        <v>1143</v>
      </c>
      <c r="D14" s="32">
        <v>600</v>
      </c>
      <c r="F14" s="41" t="s">
        <v>72</v>
      </c>
    </row>
    <row r="15" spans="1:6" x14ac:dyDescent="0.3">
      <c r="B15" s="30" t="s">
        <v>7</v>
      </c>
      <c r="C15" s="34">
        <f>SUM(C11:C14)</f>
        <v>24603</v>
      </c>
      <c r="D15" s="34">
        <f>SUM(D11:D14)</f>
        <v>26659.862499999999</v>
      </c>
    </row>
    <row r="16" spans="1:6" x14ac:dyDescent="0.3">
      <c r="C16" s="33"/>
      <c r="D16" s="33"/>
    </row>
    <row r="17" spans="1:6" x14ac:dyDescent="0.3">
      <c r="A17" s="30" t="s">
        <v>8</v>
      </c>
      <c r="C17" s="31">
        <f>C15+C9</f>
        <v>289603</v>
      </c>
      <c r="D17" s="31">
        <f>D15+D9</f>
        <v>330834.86249999999</v>
      </c>
    </row>
    <row r="19" spans="1:6" x14ac:dyDescent="0.3">
      <c r="A19" s="30" t="s">
        <v>20</v>
      </c>
      <c r="C19" s="32">
        <v>2579</v>
      </c>
      <c r="D19" s="32">
        <f>3548*0.9</f>
        <v>3193.2000000000003</v>
      </c>
      <c r="F19" s="41" t="s">
        <v>71</v>
      </c>
    </row>
    <row r="21" spans="1:6" x14ac:dyDescent="0.3">
      <c r="A21" s="27" t="s">
        <v>14</v>
      </c>
      <c r="C21" s="41"/>
      <c r="D21" s="41"/>
    </row>
    <row r="22" spans="1:6" x14ac:dyDescent="0.3">
      <c r="B22" s="26" t="s">
        <v>9</v>
      </c>
      <c r="C22" s="29">
        <v>12413</v>
      </c>
      <c r="D22" s="29">
        <v>11700</v>
      </c>
    </row>
    <row r="23" spans="1:6" x14ac:dyDescent="0.3">
      <c r="B23" s="26" t="s">
        <v>10</v>
      </c>
      <c r="C23" s="29">
        <v>900</v>
      </c>
      <c r="D23" s="29">
        <v>900</v>
      </c>
    </row>
    <row r="24" spans="1:6" x14ac:dyDescent="0.3">
      <c r="B24" s="26" t="s">
        <v>11</v>
      </c>
      <c r="C24" s="29">
        <v>40275</v>
      </c>
      <c r="D24" s="29">
        <v>43000</v>
      </c>
    </row>
    <row r="25" spans="1:6" x14ac:dyDescent="0.3">
      <c r="B25" s="26" t="s">
        <v>12</v>
      </c>
      <c r="C25" s="29">
        <v>52022</v>
      </c>
      <c r="D25" s="29">
        <f>ROUND(C25*1.015,-2)</f>
        <v>52800</v>
      </c>
      <c r="F25" s="41" t="s">
        <v>73</v>
      </c>
    </row>
    <row r="26" spans="1:6" x14ac:dyDescent="0.3">
      <c r="B26" s="26" t="s">
        <v>15</v>
      </c>
      <c r="C26" s="29">
        <v>14589</v>
      </c>
      <c r="D26" s="29">
        <v>14500</v>
      </c>
    </row>
    <row r="27" spans="1:6" x14ac:dyDescent="0.3">
      <c r="B27" s="30" t="s">
        <v>19</v>
      </c>
      <c r="C27" s="34">
        <f t="shared" ref="C27:D27" si="2">SUM(C22:C26)</f>
        <v>120199</v>
      </c>
      <c r="D27" s="34">
        <f t="shared" si="2"/>
        <v>122900</v>
      </c>
    </row>
    <row r="29" spans="1:6" x14ac:dyDescent="0.3">
      <c r="A29" s="30" t="s">
        <v>21</v>
      </c>
      <c r="C29" s="34">
        <f t="shared" ref="C29" si="3">C17+C19-C27</f>
        <v>171983</v>
      </c>
      <c r="D29" s="34">
        <f t="shared" ref="D29" si="4">D17+D19-D27</f>
        <v>211128.0625</v>
      </c>
    </row>
    <row r="31" spans="1:6" x14ac:dyDescent="0.3">
      <c r="A31" s="27" t="s">
        <v>28</v>
      </c>
    </row>
    <row r="32" spans="1:6" x14ac:dyDescent="0.3">
      <c r="B32" s="26" t="s">
        <v>29</v>
      </c>
      <c r="C32" s="29">
        <f>'Debt Coverage Ratio'!E21+'Debt Coverage Ratio'!E30</f>
        <v>110203</v>
      </c>
      <c r="D32" s="29">
        <f>'Debt Coverage Ratio'!F21+'Debt Coverage Ratio'!F30</f>
        <v>112101</v>
      </c>
    </row>
    <row r="33" spans="1:6" x14ac:dyDescent="0.3">
      <c r="B33" s="2" t="s">
        <v>62</v>
      </c>
      <c r="C33" s="35">
        <f>'Debt Coverage Ratio'!E22+'Debt Coverage Ratio'!E31</f>
        <v>0</v>
      </c>
      <c r="D33" s="35">
        <f>'Debt Coverage Ratio'!F22+'Debt Coverage Ratio'!F31</f>
        <v>0</v>
      </c>
    </row>
    <row r="34" spans="1:6" x14ac:dyDescent="0.3">
      <c r="B34" s="41" t="s">
        <v>60</v>
      </c>
      <c r="C34" s="29">
        <f>'Debt Coverage Ratio'!E23</f>
        <v>0</v>
      </c>
      <c r="D34" s="29">
        <f>'Debt Coverage Ratio'!F23</f>
        <v>5489</v>
      </c>
    </row>
    <row r="35" spans="1:6" x14ac:dyDescent="0.3">
      <c r="B35" s="36" t="s">
        <v>59</v>
      </c>
      <c r="C35" s="37">
        <f>SUM('Debt Coverage Ratio'!E24,'Debt Coverage Ratio'!E32:E33)</f>
        <v>-8744</v>
      </c>
      <c r="D35" s="45">
        <f>SUM('Debt Coverage Ratio'!F24,'Debt Coverage Ratio'!F32:F33)</f>
        <v>-1423.4937500000001</v>
      </c>
    </row>
    <row r="36" spans="1:6" x14ac:dyDescent="0.3">
      <c r="B36" s="30" t="s">
        <v>30</v>
      </c>
      <c r="C36" s="34">
        <f t="shared" ref="C36:D36" si="5">SUM(C32:C35)</f>
        <v>101459</v>
      </c>
      <c r="D36" s="34">
        <f t="shared" si="5"/>
        <v>116166.50625000001</v>
      </c>
    </row>
    <row r="37" spans="1:6" x14ac:dyDescent="0.3">
      <c r="B37" s="30"/>
      <c r="C37" s="38"/>
      <c r="D37" s="38"/>
    </row>
    <row r="38" spans="1:6" x14ac:dyDescent="0.3">
      <c r="A38" s="41" t="s">
        <v>66</v>
      </c>
      <c r="B38" s="30"/>
      <c r="C38" s="31">
        <f>C29-C36</f>
        <v>70524</v>
      </c>
      <c r="D38" s="31">
        <f>D29-D36</f>
        <v>94961.556249999994</v>
      </c>
    </row>
    <row r="39" spans="1:6" x14ac:dyDescent="0.3">
      <c r="B39" s="30"/>
      <c r="C39" s="38"/>
      <c r="D39" s="38"/>
    </row>
    <row r="40" spans="1:6" x14ac:dyDescent="0.3">
      <c r="A40" s="27" t="s">
        <v>18</v>
      </c>
      <c r="C40" s="33"/>
      <c r="D40" s="33"/>
    </row>
    <row r="41" spans="1:6" x14ac:dyDescent="0.3">
      <c r="B41" s="26" t="s">
        <v>17</v>
      </c>
      <c r="C41" s="29">
        <f>148186+3800-12075+12571-10000</f>
        <v>142482</v>
      </c>
      <c r="D41" s="29">
        <f>193272-27915</f>
        <v>165357</v>
      </c>
      <c r="F41" s="41" t="s">
        <v>74</v>
      </c>
    </row>
    <row r="42" spans="1:6" x14ac:dyDescent="0.3">
      <c r="C42" s="29"/>
      <c r="D42" s="29"/>
    </row>
    <row r="43" spans="1:6" ht="15" thickBot="1" x14ac:dyDescent="0.35">
      <c r="A43" s="41" t="s">
        <v>67</v>
      </c>
      <c r="B43" s="41"/>
      <c r="C43" s="46">
        <f>C55-85739-C51</f>
        <v>-71958</v>
      </c>
      <c r="D43" s="46">
        <f t="shared" ref="D43" si="6">D55-C55-D51</f>
        <v>-70395.443750000006</v>
      </c>
    </row>
    <row r="44" spans="1:6" ht="15" thickTop="1" x14ac:dyDescent="0.3"/>
    <row r="49" spans="1:4" x14ac:dyDescent="0.3">
      <c r="A49" s="27" t="s">
        <v>26</v>
      </c>
    </row>
    <row r="50" spans="1:4" x14ac:dyDescent="0.3">
      <c r="B50" s="26" t="s">
        <v>25</v>
      </c>
      <c r="C50" s="29">
        <v>85739</v>
      </c>
      <c r="D50" s="29">
        <f t="shared" ref="D50" si="7">C55</f>
        <v>13781</v>
      </c>
    </row>
    <row r="51" spans="1:4" x14ac:dyDescent="0.3">
      <c r="B51" s="26" t="s">
        <v>22</v>
      </c>
      <c r="C51" s="29"/>
      <c r="D51" s="29">
        <v>140000</v>
      </c>
    </row>
    <row r="52" spans="1:4" x14ac:dyDescent="0.3">
      <c r="B52" s="26" t="s">
        <v>23</v>
      </c>
      <c r="C52" s="29">
        <f>C38</f>
        <v>70524</v>
      </c>
      <c r="D52" s="29">
        <f>D38</f>
        <v>94961.556249999994</v>
      </c>
    </row>
    <row r="53" spans="1:4" x14ac:dyDescent="0.3">
      <c r="B53" s="26" t="s">
        <v>27</v>
      </c>
      <c r="C53" s="29">
        <f>-C41</f>
        <v>-142482</v>
      </c>
      <c r="D53" s="29">
        <f>-D41</f>
        <v>-165357</v>
      </c>
    </row>
    <row r="54" spans="1:4" x14ac:dyDescent="0.3">
      <c r="B54" s="41" t="s">
        <v>65</v>
      </c>
      <c r="C54" s="29"/>
      <c r="D54" s="29"/>
    </row>
    <row r="55" spans="1:4" ht="15" thickBot="1" x14ac:dyDescent="0.35">
      <c r="B55" s="26" t="s">
        <v>24</v>
      </c>
      <c r="C55" s="39">
        <f t="shared" ref="C55" si="8">SUM(C50:C53)</f>
        <v>13781</v>
      </c>
      <c r="D55" s="39">
        <f t="shared" ref="D55" si="9">SUM(D50:D53)</f>
        <v>83385.556249999994</v>
      </c>
    </row>
    <row r="56" spans="1:4" ht="15" thickTop="1" x14ac:dyDescent="0.3">
      <c r="C56" s="29"/>
      <c r="D56" s="29"/>
    </row>
    <row r="57" spans="1:4" x14ac:dyDescent="0.3">
      <c r="A57" s="27" t="s">
        <v>58</v>
      </c>
    </row>
    <row r="58" spans="1:4" x14ac:dyDescent="0.3">
      <c r="B58" s="40" t="s">
        <v>53</v>
      </c>
      <c r="C58" s="29">
        <v>87700</v>
      </c>
      <c r="D58" s="29">
        <v>87700</v>
      </c>
    </row>
    <row r="59" spans="1:4" x14ac:dyDescent="0.3">
      <c r="B59" s="40" t="s">
        <v>54</v>
      </c>
      <c r="C59" s="29">
        <v>49904.305</v>
      </c>
      <c r="D59" s="29">
        <v>49904.305</v>
      </c>
    </row>
    <row r="60" spans="1:4" x14ac:dyDescent="0.3">
      <c r="B60" s="40" t="s">
        <v>55</v>
      </c>
      <c r="C60" s="29">
        <v>2236</v>
      </c>
      <c r="D60" s="29">
        <f t="shared" ref="D60" si="10">C60</f>
        <v>2236</v>
      </c>
    </row>
    <row r="61" spans="1:4" x14ac:dyDescent="0.3">
      <c r="B61" s="40" t="s">
        <v>56</v>
      </c>
      <c r="C61" s="29">
        <v>14351</v>
      </c>
      <c r="D61" s="29">
        <f t="shared" ref="D61" si="11">C61</f>
        <v>14351</v>
      </c>
    </row>
    <row r="62" spans="1:4" x14ac:dyDescent="0.3">
      <c r="B62" s="40" t="s">
        <v>57</v>
      </c>
      <c r="C62" s="29">
        <f t="shared" ref="C62" si="12">C55</f>
        <v>13781</v>
      </c>
      <c r="D62" s="29">
        <f t="shared" ref="D62" si="13">D55</f>
        <v>83385.556249999994</v>
      </c>
    </row>
    <row r="63" spans="1:4" ht="15" thickBot="1" x14ac:dyDescent="0.35">
      <c r="B63" s="30" t="s">
        <v>58</v>
      </c>
      <c r="C63" s="39">
        <f t="shared" ref="C63" si="14">SUM(C58:C62)</f>
        <v>167972.30499999999</v>
      </c>
      <c r="D63" s="39">
        <f t="shared" ref="D63" si="15">SUM(D58:D62)</f>
        <v>237576.86124999999</v>
      </c>
    </row>
    <row r="64" spans="1:4" ht="15" thickTop="1" x14ac:dyDescent="0.3"/>
    <row r="65" spans="2:4" x14ac:dyDescent="0.3">
      <c r="B65" s="42" t="s">
        <v>14</v>
      </c>
      <c r="C65" s="33">
        <f>C27</f>
        <v>120199</v>
      </c>
      <c r="D65" s="33">
        <f>D27</f>
        <v>122900</v>
      </c>
    </row>
    <row r="66" spans="2:4" x14ac:dyDescent="0.3">
      <c r="B66" s="42" t="s">
        <v>61</v>
      </c>
      <c r="C66" s="33">
        <f t="shared" ref="C66:D66" si="16">C63/C65*365</f>
        <v>510.06989513223903</v>
      </c>
      <c r="D66" s="33">
        <f t="shared" si="16"/>
        <v>705.5781477318958</v>
      </c>
    </row>
    <row r="67" spans="2:4" x14ac:dyDescent="0.3">
      <c r="C67" s="33"/>
      <c r="D67" s="33"/>
    </row>
    <row r="68" spans="2:4" x14ac:dyDescent="0.3">
      <c r="C68" s="43"/>
      <c r="D68" s="33"/>
    </row>
    <row r="69" spans="2:4" x14ac:dyDescent="0.3">
      <c r="C69" s="29"/>
      <c r="D69" s="33"/>
    </row>
  </sheetData>
  <pageMargins left="0.7" right="0.7" top="0.75" bottom="0.75" header="0.3" footer="0.3"/>
  <pageSetup paperSize="5" scale="75" orientation="landscape" r:id="rId1"/>
  <headerFooter>
    <oddFooter>&amp;L&amp;Z&amp;F&amp;CPage &amp;P&amp;R&amp;D</oddFoot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zoomScaleNormal="100" workbookViewId="0">
      <selection activeCell="D10" sqref="D10"/>
    </sheetView>
  </sheetViews>
  <sheetFormatPr defaultColWidth="9.109375" defaultRowHeight="13.2" x14ac:dyDescent="0.25"/>
  <cols>
    <col min="1" max="1" width="4.44140625" style="2" customWidth="1"/>
    <col min="2" max="2" width="3.6640625" style="2" customWidth="1"/>
    <col min="3" max="3" width="3.109375" style="2" customWidth="1"/>
    <col min="4" max="4" width="44.6640625" style="2" customWidth="1"/>
    <col min="5" max="6" width="12.6640625" style="2" customWidth="1"/>
    <col min="7" max="16384" width="9.109375" style="2"/>
  </cols>
  <sheetData>
    <row r="1" spans="1:6" ht="17.25" customHeight="1" x14ac:dyDescent="0.3">
      <c r="A1" s="1" t="s">
        <v>48</v>
      </c>
    </row>
    <row r="2" spans="1:6" x14ac:dyDescent="0.25">
      <c r="A2" s="3" t="s">
        <v>49</v>
      </c>
    </row>
    <row r="4" spans="1:6" s="6" customFormat="1" x14ac:dyDescent="0.25">
      <c r="A4" s="4"/>
      <c r="B4" s="4"/>
      <c r="C4" s="4"/>
      <c r="D4" s="4"/>
      <c r="E4" s="5" t="s">
        <v>47</v>
      </c>
      <c r="F4" s="24">
        <f>E4+1</f>
        <v>2021</v>
      </c>
    </row>
    <row r="5" spans="1:6" x14ac:dyDescent="0.25">
      <c r="B5" s="7"/>
      <c r="C5" s="7"/>
      <c r="D5" s="7"/>
    </row>
    <row r="6" spans="1:6" x14ac:dyDescent="0.25">
      <c r="A6" s="8" t="s">
        <v>31</v>
      </c>
      <c r="B6" s="7"/>
      <c r="C6" s="7"/>
      <c r="D6" s="7"/>
    </row>
    <row r="7" spans="1:6" s="10" customFormat="1" x14ac:dyDescent="0.25">
      <c r="B7" s="11" t="s">
        <v>2</v>
      </c>
      <c r="C7" s="12"/>
      <c r="D7" s="12"/>
      <c r="E7" s="13">
        <f>'2020 Projection'!C17</f>
        <v>289603</v>
      </c>
      <c r="F7" s="13">
        <f>'2020 Projection'!D17</f>
        <v>330834.86249999999</v>
      </c>
    </row>
    <row r="8" spans="1:6" s="10" customFormat="1" x14ac:dyDescent="0.25">
      <c r="B8" s="14"/>
    </row>
    <row r="9" spans="1:6" x14ac:dyDescent="0.25">
      <c r="B9" s="8" t="s">
        <v>32</v>
      </c>
    </row>
    <row r="10" spans="1:6" x14ac:dyDescent="0.25">
      <c r="C10" s="14" t="s">
        <v>33</v>
      </c>
      <c r="E10" s="9">
        <f>'2020 Projection'!C22+'2020 Projection'!C23</f>
        <v>13313</v>
      </c>
      <c r="F10" s="9">
        <f>'2020 Projection'!D22+'2020 Projection'!D23</f>
        <v>12600</v>
      </c>
    </row>
    <row r="11" spans="1:6" x14ac:dyDescent="0.25">
      <c r="C11" s="14" t="s">
        <v>34</v>
      </c>
      <c r="E11" s="9">
        <f>'2020 Projection'!C24</f>
        <v>40275</v>
      </c>
      <c r="F11" s="9">
        <f>'2020 Projection'!D24</f>
        <v>43000</v>
      </c>
    </row>
    <row r="12" spans="1:6" x14ac:dyDescent="0.25">
      <c r="C12" s="14" t="s">
        <v>35</v>
      </c>
      <c r="E12" s="9">
        <f>'2020 Projection'!C25</f>
        <v>52022</v>
      </c>
      <c r="F12" s="9">
        <f>'2020 Projection'!D25</f>
        <v>52800</v>
      </c>
    </row>
    <row r="13" spans="1:6" x14ac:dyDescent="0.25">
      <c r="C13" s="14" t="s">
        <v>36</v>
      </c>
      <c r="E13" s="15">
        <f>'2020 Projection'!C26</f>
        <v>14589</v>
      </c>
      <c r="F13" s="15">
        <f>'2020 Projection'!D26</f>
        <v>14500</v>
      </c>
    </row>
    <row r="14" spans="1:6" s="8" customFormat="1" x14ac:dyDescent="0.25">
      <c r="B14" s="8" t="s">
        <v>37</v>
      </c>
      <c r="E14" s="16">
        <f t="shared" ref="E14" si="0">SUM(E10:E13)</f>
        <v>120199</v>
      </c>
      <c r="F14" s="16">
        <f t="shared" ref="F14" si="1">SUM(F10:F13)</f>
        <v>122900</v>
      </c>
    </row>
    <row r="15" spans="1:6" x14ac:dyDescent="0.25">
      <c r="C15" s="17"/>
    </row>
    <row r="16" spans="1:6" s="8" customFormat="1" x14ac:dyDescent="0.25">
      <c r="B16" s="8" t="s">
        <v>38</v>
      </c>
      <c r="E16" s="18">
        <v>335</v>
      </c>
      <c r="F16" s="18">
        <f t="shared" ref="F16" si="2">ROUND((F14-E14)/12,0)</f>
        <v>225</v>
      </c>
    </row>
    <row r="17" spans="2:6" x14ac:dyDescent="0.25">
      <c r="C17" s="17"/>
    </row>
    <row r="18" spans="2:6" s="13" customFormat="1" ht="13.8" thickBot="1" x14ac:dyDescent="0.3">
      <c r="B18" s="8" t="s">
        <v>39</v>
      </c>
      <c r="E18" s="19">
        <f t="shared" ref="E18" si="3">E7-E14-E16</f>
        <v>169069</v>
      </c>
      <c r="F18" s="19">
        <f t="shared" ref="F18" si="4">F7-F14-F16</f>
        <v>207709.86249999999</v>
      </c>
    </row>
    <row r="19" spans="2:6" ht="13.8" thickTop="1" x14ac:dyDescent="0.25"/>
    <row r="20" spans="2:6" x14ac:dyDescent="0.25">
      <c r="B20" s="8" t="s">
        <v>40</v>
      </c>
    </row>
    <row r="21" spans="2:6" x14ac:dyDescent="0.25">
      <c r="C21" s="2" t="s">
        <v>50</v>
      </c>
      <c r="E21" s="20">
        <v>56457</v>
      </c>
      <c r="F21" s="20">
        <v>59759</v>
      </c>
    </row>
    <row r="22" spans="2:6" x14ac:dyDescent="0.25">
      <c r="E22" s="9"/>
      <c r="F22" s="9"/>
    </row>
    <row r="23" spans="2:6" x14ac:dyDescent="0.25">
      <c r="C23" s="2" t="s">
        <v>63</v>
      </c>
      <c r="E23" s="9"/>
      <c r="F23" s="9">
        <v>5489</v>
      </c>
    </row>
    <row r="24" spans="2:6" x14ac:dyDescent="0.25">
      <c r="C24" s="2" t="s">
        <v>41</v>
      </c>
      <c r="E24" s="21">
        <v>-880</v>
      </c>
      <c r="F24" s="21">
        <f>(-(F21+F22+F23)*0.25-62000)*0.0025-270</f>
        <v>-465.78</v>
      </c>
    </row>
    <row r="25" spans="2:6" s="13" customFormat="1" ht="13.8" thickBot="1" x14ac:dyDescent="0.3">
      <c r="B25" s="8" t="s">
        <v>42</v>
      </c>
      <c r="E25" s="19">
        <f t="shared" ref="E25:F25" si="5">SUM(E21:E24)</f>
        <v>55577</v>
      </c>
      <c r="F25" s="19">
        <f t="shared" si="5"/>
        <v>64782.22</v>
      </c>
    </row>
    <row r="26" spans="2:6" ht="13.8" thickTop="1" x14ac:dyDescent="0.25"/>
    <row r="27" spans="2:6" x14ac:dyDescent="0.25">
      <c r="B27" s="8" t="s">
        <v>51</v>
      </c>
      <c r="C27" s="8"/>
      <c r="E27" s="22">
        <f t="shared" ref="E27:F27" si="6">E18/E25</f>
        <v>3.0420677618439282</v>
      </c>
      <c r="F27" s="22">
        <f t="shared" si="6"/>
        <v>3.2062788601563823</v>
      </c>
    </row>
    <row r="28" spans="2:6" x14ac:dyDescent="0.25">
      <c r="B28" s="8"/>
      <c r="C28" s="8"/>
      <c r="E28" s="23"/>
      <c r="F28" s="23"/>
    </row>
    <row r="29" spans="2:6" x14ac:dyDescent="0.25">
      <c r="B29" s="8" t="s">
        <v>43</v>
      </c>
      <c r="E29" s="44"/>
      <c r="F29" s="44"/>
    </row>
    <row r="30" spans="2:6" x14ac:dyDescent="0.25">
      <c r="C30" s="2" t="s">
        <v>50</v>
      </c>
      <c r="E30" s="20">
        <v>53746</v>
      </c>
      <c r="F30" s="20">
        <v>52342</v>
      </c>
    </row>
    <row r="31" spans="2:6" x14ac:dyDescent="0.25">
      <c r="E31" s="9"/>
      <c r="F31" s="9"/>
    </row>
    <row r="32" spans="2:6" x14ac:dyDescent="0.25">
      <c r="C32" s="2" t="s">
        <v>41</v>
      </c>
      <c r="E32" s="21">
        <v>-1712</v>
      </c>
      <c r="F32" s="21">
        <f>((F30+F31)*0.25+110000)*-0.0025-250</f>
        <v>-557.71375</v>
      </c>
    </row>
    <row r="33" spans="2:6" x14ac:dyDescent="0.25">
      <c r="C33" s="2" t="s">
        <v>44</v>
      </c>
      <c r="E33" s="21">
        <v>-6152</v>
      </c>
      <c r="F33" s="21">
        <f>160000*-0.0025</f>
        <v>-400</v>
      </c>
    </row>
    <row r="34" spans="2:6" ht="13.8" thickBot="1" x14ac:dyDescent="0.3">
      <c r="B34" s="8" t="s">
        <v>45</v>
      </c>
      <c r="C34" s="13"/>
      <c r="D34" s="13"/>
      <c r="E34" s="19">
        <f t="shared" ref="E34:F34" si="7">SUM(E30:E33)</f>
        <v>45882</v>
      </c>
      <c r="F34" s="19">
        <f t="shared" si="7"/>
        <v>51384.286249999997</v>
      </c>
    </row>
    <row r="35" spans="2:6" ht="13.8" thickTop="1" x14ac:dyDescent="0.25"/>
    <row r="36" spans="2:6" ht="13.8" thickBot="1" x14ac:dyDescent="0.3">
      <c r="B36" s="8" t="s">
        <v>46</v>
      </c>
      <c r="E36" s="19">
        <f t="shared" ref="E36:F36" si="8">E25+E34</f>
        <v>101459</v>
      </c>
      <c r="F36" s="19">
        <f t="shared" si="8"/>
        <v>116166.50625000001</v>
      </c>
    </row>
    <row r="37" spans="2:6" ht="13.8" thickTop="1" x14ac:dyDescent="0.25"/>
    <row r="38" spans="2:6" x14ac:dyDescent="0.25">
      <c r="B38" s="8" t="s">
        <v>52</v>
      </c>
      <c r="C38" s="8"/>
      <c r="E38" s="22">
        <f t="shared" ref="E38:F38" si="9">E18/E36</f>
        <v>1.6663775515232755</v>
      </c>
      <c r="F38" s="22">
        <f t="shared" si="9"/>
        <v>1.7880357187724234</v>
      </c>
    </row>
    <row r="39" spans="2:6" x14ac:dyDescent="0.25">
      <c r="B39" s="8"/>
      <c r="C39" s="8"/>
      <c r="E39" s="23"/>
    </row>
    <row r="40" spans="2:6" x14ac:dyDescent="0.25">
      <c r="B40" s="8"/>
      <c r="C40" s="8"/>
      <c r="E40" s="9"/>
    </row>
    <row r="41" spans="2:6" x14ac:dyDescent="0.25">
      <c r="B41" s="8"/>
      <c r="C41" s="8"/>
      <c r="E41" s="9"/>
    </row>
    <row r="42" spans="2:6" x14ac:dyDescent="0.25">
      <c r="B42" s="8"/>
      <c r="C42" s="8"/>
      <c r="E42" s="23"/>
    </row>
  </sheetData>
  <pageMargins left="0.7" right="0.7" top="0.75" bottom="0.75" header="0.3" footer="0.3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2020 Projection</vt:lpstr>
      <vt:lpstr>Debt Coverage Ratio</vt:lpstr>
      <vt:lpstr>'2020 Projection'!Print_Area</vt:lpstr>
      <vt:lpstr>'Debt Coverage Ratio'!Print_Area</vt:lpstr>
      <vt:lpstr>'2020 Projection'!Print_Titles</vt:lpstr>
      <vt:lpstr>'Debt Coverage Ratio'!Print_Titles</vt:lpstr>
    </vt:vector>
  </TitlesOfParts>
  <Company>Ohio Turnpike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Seekely</dc:creator>
  <cp:lastModifiedBy>Victoria Kullik</cp:lastModifiedBy>
  <cp:lastPrinted>2020-04-07T14:57:07Z</cp:lastPrinted>
  <dcterms:created xsi:type="dcterms:W3CDTF">2015-03-02T19:47:44Z</dcterms:created>
  <dcterms:modified xsi:type="dcterms:W3CDTF">2020-08-05T12:25:58Z</dcterms:modified>
</cp:coreProperties>
</file>